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arketing\Calculators\2023\"/>
    </mc:Choice>
  </mc:AlternateContent>
  <xr:revisionPtr revIDLastSave="0" documentId="13_ncr:1_{2A47F07D-BABE-4C32-A812-ED5F85B3E76D}" xr6:coauthVersionLast="47" xr6:coauthVersionMax="47" xr10:uidLastSave="{00000000-0000-0000-0000-000000000000}"/>
  <workbookProtection workbookAlgorithmName="SHA-512" workbookHashValue="2qzrOtC0UsGXUJHOE+M30fH5iiKmmxPuF7CwBmft2Ti8MsS2+R/+F0Z8YhhaLmPx1UNwneAblts7yz6+1txtNw==" workbookSaltValue="0O6V23S/F3ZHNHqxJpcagA==" workbookSpinCount="100000" lockStructure="1"/>
  <bookViews>
    <workbookView xWindow="30525" yWindow="1725" windowWidth="28800" windowHeight="15375" tabRatio="744" xr2:uid="{29B608EB-B6A3-4CF3-9792-B6A1D6F5A2AB}"/>
  </bookViews>
  <sheets>
    <sheet name="Value of perennial ryegrass" sheetId="1" r:id="rId1"/>
    <sheet name="Lists" sheetId="2" state="hidden" r:id="rId2"/>
    <sheet name="NFVT Yield File" sheetId="3" state="hidden" r:id="rId3"/>
  </sheets>
  <definedNames>
    <definedName name="_xlnm.Print_Area" localSheetId="0">'Value of perennial ryegrass'!$A$1:$P$37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4" i="1" s="1"/>
  <c r="H26" i="1"/>
  <c r="G26" i="1"/>
  <c r="F26" i="1"/>
  <c r="E26" i="1"/>
  <c r="D26" i="1"/>
  <c r="D21" i="1"/>
  <c r="O20" i="1"/>
  <c r="I20" i="1"/>
  <c r="I21" i="1"/>
  <c r="H21" i="1"/>
  <c r="G21" i="1"/>
  <c r="F21" i="1"/>
  <c r="E21" i="1"/>
  <c r="H20" i="1"/>
  <c r="G20" i="1"/>
  <c r="F20" i="1"/>
  <c r="E20" i="1"/>
  <c r="D20" i="1"/>
  <c r="O21" i="1"/>
  <c r="K21" i="1"/>
  <c r="K20" i="1"/>
  <c r="O22" i="1" l="1"/>
  <c r="F23" i="1"/>
  <c r="H23" i="1"/>
  <c r="H28" i="1" s="1"/>
  <c r="D23" i="1"/>
  <c r="D28" i="1" s="1"/>
  <c r="E23" i="1"/>
  <c r="G23" i="1"/>
  <c r="I23" i="1"/>
  <c r="I24" i="1" s="1"/>
  <c r="E24" i="1" l="1"/>
  <c r="E28" i="1"/>
  <c r="F24" i="1"/>
  <c r="F28" i="1"/>
  <c r="G24" i="1"/>
  <c r="G28" i="1"/>
  <c r="D24" i="1"/>
  <c r="H24" i="1"/>
  <c r="I28" i="1" l="1"/>
  <c r="I30" i="1" s="1"/>
</calcChain>
</file>

<file path=xl/sharedStrings.xml><?xml version="1.0" encoding="utf-8"?>
<sst xmlns="http://schemas.openxmlformats.org/spreadsheetml/2006/main" count="118" uniqueCount="96">
  <si>
    <t>Step 1:</t>
  </si>
  <si>
    <t>Select your region from the list</t>
  </si>
  <si>
    <t>Step 2:</t>
  </si>
  <si>
    <t>Select your cultivar of interest</t>
  </si>
  <si>
    <t>Step 3:</t>
  </si>
  <si>
    <t>Select 'Nui' or 'Uncertified'</t>
  </si>
  <si>
    <t>Step 4:</t>
  </si>
  <si>
    <t>Step 5:</t>
  </si>
  <si>
    <t>Select sowing rate in kg/ha per cultivar</t>
  </si>
  <si>
    <t>Region</t>
  </si>
  <si>
    <t>Lower South Island</t>
  </si>
  <si>
    <t>Winter</t>
  </si>
  <si>
    <t>E. Spring</t>
  </si>
  <si>
    <t>L. Spring</t>
  </si>
  <si>
    <t>Summer</t>
  </si>
  <si>
    <t>Autumn</t>
  </si>
  <si>
    <t>Total</t>
  </si>
  <si>
    <t>Seed Cost</t>
  </si>
  <si>
    <t>Array NEA2</t>
  </si>
  <si>
    <t>kg/ha</t>
  </si>
  <si>
    <t>Nui</t>
  </si>
  <si>
    <t>Difference</t>
  </si>
  <si>
    <t xml:space="preserve"> </t>
  </si>
  <si>
    <t>Regions</t>
  </si>
  <si>
    <t>Value of Feed</t>
  </si>
  <si>
    <t>Upper North Island</t>
  </si>
  <si>
    <t>Perennial Ryegrass Economic Value</t>
  </si>
  <si>
    <t>Lower North Island</t>
  </si>
  <si>
    <t>Early spring</t>
  </si>
  <si>
    <t>Late spring</t>
  </si>
  <si>
    <t>Upper South Island</t>
  </si>
  <si>
    <t>Clover %</t>
  </si>
  <si>
    <t>Short-term</t>
  </si>
  <si>
    <t>Establishment</t>
  </si>
  <si>
    <t>ENTRY!</t>
  </si>
  <si>
    <t>WINTER</t>
  </si>
  <si>
    <t>ESPRING</t>
  </si>
  <si>
    <t>LSPRING</t>
  </si>
  <si>
    <t>SUMMER</t>
  </si>
  <si>
    <t>AUTUMN</t>
  </si>
  <si>
    <t>TOTAL</t>
  </si>
  <si>
    <t>Tyson NEA4</t>
  </si>
  <si>
    <t>Maxsyn NEA4</t>
  </si>
  <si>
    <t>4front NEA2</t>
  </si>
  <si>
    <t>Governor AR37</t>
  </si>
  <si>
    <t>Governor AR1</t>
  </si>
  <si>
    <t>Viscount NEA4</t>
  </si>
  <si>
    <t>Rohan NEA2</t>
  </si>
  <si>
    <t>AberGain AR1</t>
  </si>
  <si>
    <t>AberGreen AR1</t>
  </si>
  <si>
    <t>AberGreen WE</t>
  </si>
  <si>
    <t>AberMagic WE</t>
  </si>
  <si>
    <t>Avatar NEA</t>
  </si>
  <si>
    <t>Base AR1</t>
  </si>
  <si>
    <t>Base AR37</t>
  </si>
  <si>
    <t>Excess AR1</t>
  </si>
  <si>
    <t>Excess AR37</t>
  </si>
  <si>
    <t>Expo AR1</t>
  </si>
  <si>
    <t>Expo AR37</t>
  </si>
  <si>
    <t>Halo AR37</t>
  </si>
  <si>
    <t>Legion AR37</t>
  </si>
  <si>
    <t>Matrix SE</t>
  </si>
  <si>
    <t>One50 AR1</t>
  </si>
  <si>
    <t>One50 AR37</t>
  </si>
  <si>
    <t>Platform AR37</t>
  </si>
  <si>
    <t>Prospect AR37</t>
  </si>
  <si>
    <t>Raider NEA2</t>
  </si>
  <si>
    <t>Reason AR37</t>
  </si>
  <si>
    <t>Rely AR1</t>
  </si>
  <si>
    <t>Rely AR37</t>
  </si>
  <si>
    <t>Request AR37</t>
  </si>
  <si>
    <t>Samson AR37</t>
  </si>
  <si>
    <t>Sequel SE</t>
  </si>
  <si>
    <t>SF Hustle AR1</t>
  </si>
  <si>
    <t>SF Moxie AR1</t>
  </si>
  <si>
    <t>Three60 AR37</t>
  </si>
  <si>
    <t>Uncertified LP</t>
  </si>
  <si>
    <r>
      <t xml:space="preserve">* Pasture values taken from the "DairyNZ FVI Handbook" 2023 edition. Available at: </t>
    </r>
    <r>
      <rPr>
        <sz val="11"/>
        <color rgb="FF0070C0"/>
        <rFont val="Calibri"/>
        <family val="2"/>
        <scheme val="minor"/>
      </rPr>
      <t>https://www.dairynz.co.nz/feed/pasture/pasture-renewal/select-pasture-species/about-fvi/</t>
    </r>
  </si>
  <si>
    <t>2022 NFVT National Summary Yield (kg DM/ha)</t>
  </si>
  <si>
    <t xml:space="preserve">% difference from </t>
  </si>
  <si>
    <r>
      <t xml:space="preserve">Yield data comes from NFVT  National Summaries over all trials, available at </t>
    </r>
    <r>
      <rPr>
        <sz val="11"/>
        <color rgb="FF0070C0"/>
        <rFont val="Calibri"/>
        <family val="2"/>
        <scheme val="minor"/>
      </rPr>
      <t xml:space="preserve">www.nzpbra.org.nz </t>
    </r>
  </si>
  <si>
    <t>Value of extra feed</t>
  </si>
  <si>
    <t>Seasonal value of feed*</t>
  </si>
  <si>
    <t>Input cost of seed of cultivar</t>
  </si>
  <si>
    <t>Cost of seed/ha</t>
  </si>
  <si>
    <t>Cost of Seed $/kg</t>
  </si>
  <si>
    <t>Step 6:</t>
  </si>
  <si>
    <t xml:space="preserve">** Pasture utilisation varies, we've assumed a typical value of 75% but you can change this. </t>
  </si>
  <si>
    <t>Estimate of utilisation extra feed**</t>
  </si>
  <si>
    <t>Pasture Utilisation</t>
  </si>
  <si>
    <t>Estimated feed utilisation</t>
  </si>
  <si>
    <t xml:space="preserve"> Yield difference (kg DM/ha) from</t>
  </si>
  <si>
    <t>Sowing Rate</t>
  </si>
  <si>
    <t>Estimate of value of perennial ryegrass cultivars</t>
  </si>
  <si>
    <t>Compare Barenbrug perennial ryegrass cultivars versus so called 'cheap' seed options. The NET BENEFIT calculated is only for 1 year. As pasture lasts multiple years, total net benefit will be much greater.</t>
  </si>
  <si>
    <t>Net benefit/ha/year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</si>
</sst>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/>
    <xf numFmtId="44" fontId="0" fillId="0" borderId="9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2" fillId="0" borderId="11" xfId="0" applyFont="1" applyBorder="1"/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0" fontId="2" fillId="0" borderId="14" xfId="0" applyFont="1" applyBorder="1"/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44" fontId="0" fillId="0" borderId="17" xfId="1" applyFont="1" applyBorder="1" applyAlignment="1">
      <alignment horizontal="center"/>
    </xf>
    <xf numFmtId="9" fontId="0" fillId="0" borderId="0" xfId="2" applyFont="1" applyAlignment="1">
      <alignment horizontal="center"/>
    </xf>
    <xf numFmtId="44" fontId="0" fillId="0" borderId="13" xfId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4" fontId="4" fillId="7" borderId="27" xfId="1" applyFont="1" applyFill="1" applyBorder="1" applyAlignment="1" applyProtection="1">
      <alignment horizontal="center" vertical="center"/>
      <protection locked="0"/>
    </xf>
    <xf numFmtId="44" fontId="4" fillId="7" borderId="5" xfId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Protection="1"/>
    <xf numFmtId="0" fontId="0" fillId="3" borderId="0" xfId="0" applyFill="1" applyProtection="1"/>
    <xf numFmtId="0" fontId="4" fillId="3" borderId="0" xfId="0" applyFont="1" applyFill="1" applyAlignment="1" applyProtection="1">
      <alignment horizontal="right"/>
    </xf>
    <xf numFmtId="0" fontId="4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4" fillId="3" borderId="20" xfId="0" applyFont="1" applyFill="1" applyBorder="1" applyAlignment="1" applyProtection="1">
      <alignment vertical="center"/>
    </xf>
    <xf numFmtId="0" fontId="4" fillId="3" borderId="21" xfId="0" applyFont="1" applyFill="1" applyBorder="1" applyAlignment="1" applyProtection="1">
      <alignment vertical="center"/>
    </xf>
    <xf numFmtId="0" fontId="4" fillId="3" borderId="22" xfId="0" applyFont="1" applyFill="1" applyBorder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left" vertical="center" wrapText="1" readingOrder="1"/>
    </xf>
    <xf numFmtId="0" fontId="3" fillId="3" borderId="0" xfId="0" applyFont="1" applyFill="1" applyAlignment="1" applyProtection="1">
      <alignment horizontal="left" vertical="center" wrapText="1" readingOrder="1"/>
    </xf>
    <xf numFmtId="0" fontId="3" fillId="3" borderId="26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vertical="center"/>
    </xf>
    <xf numFmtId="0" fontId="7" fillId="3" borderId="14" xfId="0" applyFont="1" applyFill="1" applyBorder="1" applyAlignment="1" applyProtection="1">
      <alignment vertical="center"/>
    </xf>
    <xf numFmtId="0" fontId="4" fillId="3" borderId="22" xfId="0" applyFont="1" applyFill="1" applyBorder="1" applyAlignment="1" applyProtection="1">
      <alignment horizontal="center" vertical="center" wrapText="1" readingOrder="1"/>
    </xf>
    <xf numFmtId="0" fontId="4" fillId="3" borderId="0" xfId="0" applyFont="1" applyFill="1" applyAlignment="1" applyProtection="1">
      <alignment horizontal="center" vertical="center" wrapText="1" readingOrder="1"/>
    </xf>
    <xf numFmtId="3" fontId="4" fillId="3" borderId="0" xfId="0" applyNumberFormat="1" applyFont="1" applyFill="1" applyAlignment="1" applyProtection="1">
      <alignment horizontal="center" vertical="center" wrapText="1" readingOrder="1"/>
    </xf>
    <xf numFmtId="3" fontId="4" fillId="3" borderId="23" xfId="0" applyNumberFormat="1" applyFont="1" applyFill="1" applyBorder="1" applyAlignment="1" applyProtection="1">
      <alignment horizontal="center" vertical="center" wrapText="1" readingOrder="1"/>
    </xf>
    <xf numFmtId="0" fontId="4" fillId="3" borderId="24" xfId="0" applyFont="1" applyFill="1" applyBorder="1" applyAlignment="1" applyProtection="1">
      <alignment vertical="center"/>
    </xf>
    <xf numFmtId="0" fontId="4" fillId="3" borderId="25" xfId="0" applyFont="1" applyFill="1" applyBorder="1" applyAlignment="1" applyProtection="1">
      <alignment vertical="center"/>
    </xf>
    <xf numFmtId="0" fontId="7" fillId="3" borderId="41" xfId="0" applyFont="1" applyFill="1" applyBorder="1" applyAlignment="1" applyProtection="1">
      <alignment horizontal="right" vertical="center" wrapText="1" indent="2" readingOrder="1"/>
    </xf>
    <xf numFmtId="0" fontId="7" fillId="3" borderId="47" xfId="0" applyFont="1" applyFill="1" applyBorder="1" applyAlignment="1" applyProtection="1">
      <alignment horizontal="right" vertical="center" indent="2"/>
    </xf>
    <xf numFmtId="0" fontId="4" fillId="3" borderId="22" xfId="0" applyFont="1" applyFill="1" applyBorder="1" applyAlignment="1" applyProtection="1">
      <alignment horizontal="right" vertical="center"/>
    </xf>
    <xf numFmtId="0" fontId="4" fillId="3" borderId="0" xfId="0" applyFont="1" applyFill="1" applyAlignment="1" applyProtection="1">
      <alignment horizontal="right" vertical="center"/>
    </xf>
    <xf numFmtId="0" fontId="4" fillId="3" borderId="23" xfId="0" applyFont="1" applyFill="1" applyBorder="1" applyAlignment="1" applyProtection="1">
      <alignment vertical="center"/>
    </xf>
    <xf numFmtId="0" fontId="0" fillId="3" borderId="36" xfId="0" applyFill="1" applyBorder="1" applyAlignment="1" applyProtection="1">
      <alignment horizontal="right"/>
    </xf>
    <xf numFmtId="0" fontId="0" fillId="3" borderId="37" xfId="0" applyFill="1" applyBorder="1" applyAlignment="1" applyProtection="1">
      <alignment horizontal="right"/>
    </xf>
    <xf numFmtId="0" fontId="0" fillId="3" borderId="37" xfId="0" applyFill="1" applyBorder="1" applyProtection="1"/>
    <xf numFmtId="0" fontId="0" fillId="3" borderId="38" xfId="0" applyFill="1" applyBorder="1" applyProtection="1"/>
    <xf numFmtId="0" fontId="0" fillId="3" borderId="39" xfId="0" applyFill="1" applyBorder="1" applyProtection="1"/>
    <xf numFmtId="0" fontId="0" fillId="3" borderId="40" xfId="0" applyFill="1" applyBorder="1" applyProtection="1"/>
    <xf numFmtId="0" fontId="4" fillId="10" borderId="0" xfId="0" applyFont="1" applyFill="1" applyAlignment="1" applyProtection="1">
      <alignment vertical="center"/>
    </xf>
    <xf numFmtId="0" fontId="3" fillId="11" borderId="5" xfId="0" applyFont="1" applyFill="1" applyBorder="1" applyAlignment="1" applyProtection="1">
      <alignment horizontal="center" vertical="center" wrapText="1" readingOrder="1"/>
    </xf>
    <xf numFmtId="0" fontId="3" fillId="11" borderId="6" xfId="0" applyFont="1" applyFill="1" applyBorder="1" applyAlignment="1" applyProtection="1">
      <alignment horizontal="center" vertical="center" wrapText="1" readingOrder="1"/>
    </xf>
    <xf numFmtId="0" fontId="3" fillId="11" borderId="7" xfId="0" applyFont="1" applyFill="1" applyBorder="1" applyAlignment="1" applyProtection="1">
      <alignment horizontal="center" vertical="center" wrapText="1" readingOrder="1"/>
    </xf>
    <xf numFmtId="0" fontId="0" fillId="3" borderId="0" xfId="0" applyFill="1"/>
    <xf numFmtId="0" fontId="9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Fill="1" applyBorder="1"/>
    <xf numFmtId="9" fontId="0" fillId="0" borderId="0" xfId="2" applyFont="1"/>
    <xf numFmtId="0" fontId="3" fillId="3" borderId="46" xfId="0" applyFont="1" applyFill="1" applyBorder="1" applyAlignment="1" applyProtection="1">
      <alignment horizontal="right" vertical="center"/>
    </xf>
    <xf numFmtId="0" fontId="4" fillId="8" borderId="28" xfId="0" applyFont="1" applyFill="1" applyBorder="1" applyAlignment="1" applyProtection="1">
      <alignment horizontal="center" vertical="center"/>
      <protection locked="0"/>
    </xf>
    <xf numFmtId="0" fontId="4" fillId="8" borderId="6" xfId="0" applyFont="1" applyFill="1" applyBorder="1" applyAlignment="1" applyProtection="1">
      <alignment horizontal="center" vertical="center"/>
      <protection locked="0"/>
    </xf>
    <xf numFmtId="3" fontId="4" fillId="4" borderId="30" xfId="0" applyNumberFormat="1" applyFont="1" applyFill="1" applyBorder="1" applyAlignment="1" applyProtection="1">
      <alignment horizontal="center" vertical="center" wrapText="1" readingOrder="1"/>
    </xf>
    <xf numFmtId="3" fontId="4" fillId="4" borderId="28" xfId="0" applyNumberFormat="1" applyFont="1" applyFill="1" applyBorder="1" applyAlignment="1" applyProtection="1">
      <alignment horizontal="center" vertical="center" wrapText="1" readingOrder="1"/>
    </xf>
    <xf numFmtId="3" fontId="4" fillId="4" borderId="29" xfId="0" applyNumberFormat="1" applyFont="1" applyFill="1" applyBorder="1" applyAlignment="1" applyProtection="1">
      <alignment horizontal="center" vertical="center" wrapText="1" readingOrder="1"/>
    </xf>
    <xf numFmtId="3" fontId="4" fillId="4" borderId="17" xfId="0" applyNumberFormat="1" applyFont="1" applyFill="1" applyBorder="1" applyAlignment="1" applyProtection="1">
      <alignment horizontal="center" vertical="center" wrapText="1" readingOrder="1"/>
    </xf>
    <xf numFmtId="3" fontId="4" fillId="4" borderId="6" xfId="0" applyNumberFormat="1" applyFont="1" applyFill="1" applyBorder="1" applyAlignment="1" applyProtection="1">
      <alignment horizontal="center" vertical="center" wrapText="1" readingOrder="1"/>
    </xf>
    <xf numFmtId="3" fontId="4" fillId="4" borderId="7" xfId="0" applyNumberFormat="1" applyFont="1" applyFill="1" applyBorder="1" applyAlignment="1" applyProtection="1">
      <alignment horizontal="center" vertical="center" wrapText="1" readingOrder="1"/>
    </xf>
    <xf numFmtId="3" fontId="8" fillId="4" borderId="33" xfId="0" applyNumberFormat="1" applyFont="1" applyFill="1" applyBorder="1" applyAlignment="1" applyProtection="1">
      <alignment horizontal="center" vertical="center" wrapText="1" readingOrder="1"/>
    </xf>
    <xf numFmtId="3" fontId="8" fillId="4" borderId="35" xfId="0" applyNumberFormat="1" applyFont="1" applyFill="1" applyBorder="1" applyAlignment="1" applyProtection="1">
      <alignment horizontal="center" vertical="center" wrapText="1" readingOrder="1"/>
    </xf>
    <xf numFmtId="3" fontId="8" fillId="4" borderId="34" xfId="0" applyNumberFormat="1" applyFont="1" applyFill="1" applyBorder="1" applyAlignment="1" applyProtection="1">
      <alignment horizontal="center" vertical="center" wrapText="1" readingOrder="1"/>
    </xf>
    <xf numFmtId="9" fontId="4" fillId="4" borderId="33" xfId="2" applyFont="1" applyFill="1" applyBorder="1" applyAlignment="1" applyProtection="1">
      <alignment horizontal="center" vertical="center"/>
    </xf>
    <xf numFmtId="9" fontId="4" fillId="4" borderId="35" xfId="2" applyFont="1" applyFill="1" applyBorder="1" applyAlignment="1" applyProtection="1">
      <alignment horizontal="center" vertical="center"/>
    </xf>
    <xf numFmtId="9" fontId="4" fillId="4" borderId="34" xfId="2" applyFont="1" applyFill="1" applyBorder="1" applyAlignment="1" applyProtection="1">
      <alignment horizontal="center" vertical="center"/>
    </xf>
    <xf numFmtId="44" fontId="4" fillId="4" borderId="33" xfId="1" applyFont="1" applyFill="1" applyBorder="1" applyAlignment="1" applyProtection="1">
      <alignment horizontal="center" vertical="center"/>
    </xf>
    <xf numFmtId="44" fontId="4" fillId="4" borderId="35" xfId="1" applyFont="1" applyFill="1" applyBorder="1" applyAlignment="1" applyProtection="1">
      <alignment horizontal="center" vertical="center"/>
    </xf>
    <xf numFmtId="44" fontId="4" fillId="4" borderId="34" xfId="1" applyFont="1" applyFill="1" applyBorder="1" applyAlignment="1" applyProtection="1">
      <alignment horizontal="center" vertical="center"/>
    </xf>
    <xf numFmtId="164" fontId="4" fillId="4" borderId="42" xfId="0" applyNumberFormat="1" applyFont="1" applyFill="1" applyBorder="1" applyAlignment="1" applyProtection="1">
      <alignment vertical="center"/>
    </xf>
    <xf numFmtId="164" fontId="4" fillId="4" borderId="35" xfId="0" applyNumberFormat="1" applyFont="1" applyFill="1" applyBorder="1" applyAlignment="1" applyProtection="1">
      <alignment vertical="center"/>
    </xf>
    <xf numFmtId="164" fontId="4" fillId="4" borderId="48" xfId="0" applyNumberFormat="1" applyFont="1" applyFill="1" applyBorder="1" applyAlignment="1" applyProtection="1">
      <alignment vertical="center"/>
    </xf>
    <xf numFmtId="6" fontId="3" fillId="4" borderId="26" xfId="0" applyNumberFormat="1" applyFont="1" applyFill="1" applyBorder="1" applyProtection="1"/>
    <xf numFmtId="6" fontId="5" fillId="4" borderId="41" xfId="0" applyNumberFormat="1" applyFont="1" applyFill="1" applyBorder="1" applyProtection="1"/>
    <xf numFmtId="164" fontId="4" fillId="4" borderId="8" xfId="0" applyNumberFormat="1" applyFont="1" applyFill="1" applyBorder="1" applyAlignment="1" applyProtection="1">
      <alignment vertical="center"/>
    </xf>
    <xf numFmtId="164" fontId="4" fillId="4" borderId="14" xfId="0" applyNumberFormat="1" applyFont="1" applyFill="1" applyBorder="1" applyAlignment="1" applyProtection="1">
      <alignment vertical="center"/>
    </xf>
    <xf numFmtId="164" fontId="3" fillId="4" borderId="26" xfId="0" applyNumberFormat="1" applyFont="1" applyFill="1" applyBorder="1" applyAlignment="1" applyProtection="1">
      <alignment vertical="center"/>
    </xf>
    <xf numFmtId="0" fontId="4" fillId="3" borderId="29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 wrapText="1"/>
    </xf>
    <xf numFmtId="0" fontId="7" fillId="3" borderId="42" xfId="0" applyFont="1" applyFill="1" applyBorder="1" applyAlignment="1" applyProtection="1">
      <alignment horizontal="right" vertical="top" wrapText="1" readingOrder="1"/>
    </xf>
    <xf numFmtId="0" fontId="7" fillId="6" borderId="32" xfId="0" applyFont="1" applyFill="1" applyBorder="1" applyAlignment="1" applyProtection="1">
      <alignment horizontal="right" vertical="center" wrapText="1" indent="2" readingOrder="1"/>
      <protection locked="0"/>
    </xf>
    <xf numFmtId="0" fontId="7" fillId="6" borderId="45" xfId="0" applyFont="1" applyFill="1" applyBorder="1" applyAlignment="1" applyProtection="1">
      <alignment horizontal="right" vertical="center" wrapText="1" indent="2" readingOrder="1"/>
      <protection locked="0"/>
    </xf>
    <xf numFmtId="0" fontId="3" fillId="3" borderId="19" xfId="0" applyFont="1" applyFill="1" applyBorder="1" applyAlignment="1" applyProtection="1">
      <alignment horizontal="right" vertical="center"/>
    </xf>
    <xf numFmtId="0" fontId="3" fillId="3" borderId="20" xfId="0" applyFont="1" applyFill="1" applyBorder="1" applyAlignment="1" applyProtection="1">
      <alignment horizontal="right" vertical="center"/>
    </xf>
    <xf numFmtId="0" fontId="0" fillId="3" borderId="0" xfId="0" applyFill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3" borderId="0" xfId="0" applyFill="1" applyAlignment="1" applyProtection="1">
      <alignment horizontal="left" wrapText="1"/>
    </xf>
    <xf numFmtId="0" fontId="3" fillId="3" borderId="43" xfId="0" applyFont="1" applyFill="1" applyBorder="1" applyAlignment="1" applyProtection="1">
      <alignment horizontal="right" vertical="center" indent="2"/>
    </xf>
    <xf numFmtId="0" fontId="3" fillId="3" borderId="41" xfId="0" applyFont="1" applyFill="1" applyBorder="1" applyAlignment="1" applyProtection="1">
      <alignment horizontal="right" vertical="center" indent="2"/>
    </xf>
    <xf numFmtId="0" fontId="3" fillId="3" borderId="33" xfId="0" applyFont="1" applyFill="1" applyBorder="1" applyAlignment="1" applyProtection="1">
      <alignment horizontal="right" vertical="center"/>
    </xf>
    <xf numFmtId="0" fontId="3" fillId="3" borderId="34" xfId="0" applyFont="1" applyFill="1" applyBorder="1" applyAlignment="1" applyProtection="1">
      <alignment horizontal="right" vertical="center"/>
    </xf>
    <xf numFmtId="9" fontId="4" fillId="10" borderId="42" xfId="1" applyNumberFormat="1" applyFont="1" applyFill="1" applyBorder="1" applyAlignment="1" applyProtection="1">
      <alignment horizontal="center" vertical="center"/>
      <protection locked="0"/>
    </xf>
    <xf numFmtId="9" fontId="4" fillId="10" borderId="43" xfId="1" applyNumberFormat="1" applyFont="1" applyFill="1" applyBorder="1" applyAlignment="1" applyProtection="1">
      <alignment horizontal="center" vertical="center"/>
      <protection locked="0"/>
    </xf>
    <xf numFmtId="9" fontId="4" fillId="10" borderId="41" xfId="1" applyNumberFormat="1" applyFont="1" applyFill="1" applyBorder="1" applyAlignment="1" applyProtection="1">
      <alignment horizontal="center" vertical="center"/>
      <protection locked="0"/>
    </xf>
    <xf numFmtId="0" fontId="5" fillId="4" borderId="42" xfId="0" applyFont="1" applyFill="1" applyBorder="1" applyAlignment="1" applyProtection="1">
      <alignment horizontal="right"/>
    </xf>
    <xf numFmtId="0" fontId="5" fillId="4" borderId="43" xfId="0" applyFont="1" applyFill="1" applyBorder="1" applyAlignment="1" applyProtection="1">
      <alignment horizontal="right"/>
    </xf>
    <xf numFmtId="0" fontId="5" fillId="4" borderId="41" xfId="0" applyFont="1" applyFill="1" applyBorder="1" applyAlignment="1" applyProtection="1">
      <alignment horizontal="right"/>
    </xf>
    <xf numFmtId="0" fontId="4" fillId="8" borderId="0" xfId="0" applyFont="1" applyFill="1" applyAlignment="1" applyProtection="1">
      <alignment horizontal="left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4" fillId="9" borderId="20" xfId="0" applyFont="1" applyFill="1" applyBorder="1" applyAlignment="1" applyProtection="1">
      <alignment horizontal="left" vertical="center"/>
      <protection locked="0"/>
    </xf>
    <xf numFmtId="0" fontId="3" fillId="11" borderId="2" xfId="0" applyFont="1" applyFill="1" applyBorder="1" applyAlignment="1" applyProtection="1">
      <alignment horizontal="center" vertical="center"/>
    </xf>
    <xf numFmtId="0" fontId="3" fillId="11" borderId="3" xfId="0" applyFont="1" applyFill="1" applyBorder="1" applyAlignment="1" applyProtection="1">
      <alignment horizontal="center" vertical="center"/>
    </xf>
    <xf numFmtId="0" fontId="3" fillId="11" borderId="4" xfId="0" applyFont="1" applyFill="1" applyBorder="1" applyAlignment="1" applyProtection="1">
      <alignment horizontal="center" vertical="center"/>
    </xf>
    <xf numFmtId="0" fontId="7" fillId="5" borderId="31" xfId="0" applyFont="1" applyFill="1" applyBorder="1" applyAlignment="1" applyProtection="1">
      <alignment horizontal="right" wrapText="1" indent="2" readingOrder="1"/>
      <protection locked="0"/>
    </xf>
    <xf numFmtId="0" fontId="7" fillId="5" borderId="44" xfId="0" applyFont="1" applyFill="1" applyBorder="1" applyAlignment="1" applyProtection="1">
      <alignment horizontal="right" wrapText="1" indent="2" readingOrder="1"/>
      <protection locked="0"/>
    </xf>
    <xf numFmtId="0" fontId="4" fillId="9" borderId="0" xfId="0" applyFont="1" applyFill="1" applyAlignment="1" applyProtection="1">
      <alignment horizontal="left"/>
    </xf>
    <xf numFmtId="0" fontId="4" fillId="5" borderId="0" xfId="0" applyFont="1" applyFill="1" applyAlignment="1" applyProtection="1">
      <alignment horizontal="left"/>
    </xf>
    <xf numFmtId="0" fontId="4" fillId="6" borderId="0" xfId="0" applyFont="1" applyFill="1" applyAlignment="1" applyProtection="1">
      <alignment horizontal="left"/>
    </xf>
    <xf numFmtId="0" fontId="4" fillId="7" borderId="0" xfId="0" applyFont="1" applyFill="1" applyAlignment="1" applyProtection="1">
      <alignment horizontal="left"/>
    </xf>
    <xf numFmtId="0" fontId="2" fillId="3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DC6D"/>
      <color rgb="FFFFF2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152400</xdr:rowOff>
    </xdr:from>
    <xdr:to>
      <xdr:col>2</xdr:col>
      <xdr:colOff>745702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25B193-0794-0F08-D92D-BE4F3DACC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2838450" cy="733425"/>
        </a:xfrm>
        <a:prstGeom prst="rect">
          <a:avLst/>
        </a:prstGeom>
      </xdr:spPr>
    </xdr:pic>
    <xdr:clientData/>
  </xdr:twoCellAnchor>
  <xdr:twoCellAnchor editAs="oneCell">
    <xdr:from>
      <xdr:col>10</xdr:col>
      <xdr:colOff>93134</xdr:colOff>
      <xdr:row>23</xdr:row>
      <xdr:rowOff>148167</xdr:rowOff>
    </xdr:from>
    <xdr:to>
      <xdr:col>10</xdr:col>
      <xdr:colOff>1466427</xdr:colOff>
      <xdr:row>27</xdr:row>
      <xdr:rowOff>59665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786596-64DB-B5FA-7F12-3880BC8A8678}"/>
            </a:ext>
            <a:ext uri="{147F2762-F138-4A5C-976F-8EAC2B608ADB}">
              <a16:predDERef xmlns:a16="http://schemas.microsoft.com/office/drawing/2014/main" pred="{4625B193-0794-0F08-D92D-BE4F3DACC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62384" y="4191000"/>
          <a:ext cx="1388533" cy="763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220E-979D-460B-A5B0-5BE5D3521528}">
  <dimension ref="A6:R35"/>
  <sheetViews>
    <sheetView tabSelected="1" topLeftCell="A7" zoomScale="90" zoomScaleNormal="90" workbookViewId="0">
      <selection activeCell="B20" sqref="B20:C20"/>
    </sheetView>
  </sheetViews>
  <sheetFormatPr defaultColWidth="8.85546875" defaultRowHeight="15" x14ac:dyDescent="0.25"/>
  <cols>
    <col min="1" max="1" width="1.42578125" style="25" customWidth="1"/>
    <col min="2" max="2" width="31.140625" style="25" customWidth="1"/>
    <col min="3" max="3" width="18.7109375" style="25" customWidth="1"/>
    <col min="4" max="4" width="13.28515625" style="25" customWidth="1"/>
    <col min="5" max="9" width="11.140625" style="25" customWidth="1"/>
    <col min="10" max="10" width="2.5703125" style="25" customWidth="1"/>
    <col min="11" max="11" width="23.5703125" style="25" customWidth="1"/>
    <col min="12" max="12" width="19.5703125" style="25" customWidth="1"/>
    <col min="13" max="13" width="7.42578125" style="25" customWidth="1"/>
    <col min="14" max="14" width="6.28515625" style="25" customWidth="1"/>
    <col min="15" max="15" width="17" style="25" customWidth="1"/>
    <col min="16" max="16384" width="8.85546875" style="25"/>
  </cols>
  <sheetData>
    <row r="6" spans="1:15" s="61" customFormat="1" ht="21" x14ac:dyDescent="0.25">
      <c r="B6" s="62" t="s">
        <v>93</v>
      </c>
    </row>
    <row r="7" spans="1:15" s="61" customFormat="1" ht="14.45" customHeight="1" x14ac:dyDescent="0.25">
      <c r="B7" s="127" t="s">
        <v>94</v>
      </c>
      <c r="C7" s="127"/>
      <c r="D7" s="127"/>
      <c r="E7" s="127"/>
      <c r="F7" s="127"/>
      <c r="G7" s="127"/>
      <c r="H7" s="127"/>
      <c r="I7" s="94"/>
      <c r="J7" s="94"/>
      <c r="K7" s="94"/>
      <c r="L7" s="94"/>
      <c r="M7" s="94"/>
      <c r="N7" s="94"/>
      <c r="O7" s="94"/>
    </row>
    <row r="8" spans="1:15" ht="15.75" x14ac:dyDescent="0.25">
      <c r="A8" s="24"/>
      <c r="B8" s="127"/>
      <c r="C8" s="127"/>
      <c r="D8" s="127"/>
      <c r="E8" s="127"/>
      <c r="F8" s="127"/>
      <c r="G8" s="127"/>
      <c r="H8" s="127"/>
      <c r="I8" s="94"/>
      <c r="J8" s="94"/>
      <c r="K8" s="94"/>
      <c r="L8" s="94"/>
      <c r="M8" s="94"/>
      <c r="N8" s="94"/>
      <c r="O8" s="94"/>
    </row>
    <row r="9" spans="1:15" ht="15.75" x14ac:dyDescent="0.25">
      <c r="A9" s="24"/>
      <c r="B9" s="63"/>
      <c r="C9" s="63"/>
      <c r="D9" s="63"/>
      <c r="E9" s="63"/>
      <c r="F9" s="63"/>
      <c r="G9" s="63"/>
      <c r="H9" s="63"/>
      <c r="I9" s="94"/>
      <c r="J9" s="94"/>
      <c r="K9" s="94"/>
      <c r="L9" s="94"/>
      <c r="M9" s="94"/>
      <c r="N9" s="94"/>
      <c r="O9" s="94"/>
    </row>
    <row r="10" spans="1:15" ht="15.75" x14ac:dyDescent="0.25">
      <c r="A10" s="24"/>
      <c r="B10" s="26" t="s">
        <v>0</v>
      </c>
      <c r="C10" s="123" t="s">
        <v>1</v>
      </c>
      <c r="D10" s="123"/>
      <c r="E10" s="123"/>
      <c r="F10" s="24"/>
      <c r="G10" s="24"/>
      <c r="H10" s="24"/>
      <c r="I10" s="24"/>
    </row>
    <row r="11" spans="1:15" ht="15.75" x14ac:dyDescent="0.25">
      <c r="A11" s="24"/>
      <c r="B11" s="26" t="s">
        <v>2</v>
      </c>
      <c r="C11" s="124" t="s">
        <v>3</v>
      </c>
      <c r="D11" s="124"/>
      <c r="E11" s="124"/>
      <c r="F11" s="24"/>
      <c r="G11" s="24"/>
      <c r="H11" s="24"/>
      <c r="I11" s="24"/>
    </row>
    <row r="12" spans="1:15" ht="15.75" x14ac:dyDescent="0.25">
      <c r="A12" s="24"/>
      <c r="B12" s="26" t="s">
        <v>4</v>
      </c>
      <c r="C12" s="125" t="s">
        <v>5</v>
      </c>
      <c r="D12" s="125"/>
      <c r="E12" s="125"/>
      <c r="F12" s="24"/>
      <c r="G12" s="24"/>
      <c r="H12" s="24"/>
      <c r="I12" s="24"/>
    </row>
    <row r="13" spans="1:15" ht="15.75" x14ac:dyDescent="0.25">
      <c r="A13" s="24"/>
      <c r="B13" s="26" t="s">
        <v>6</v>
      </c>
      <c r="C13" s="126" t="s">
        <v>83</v>
      </c>
      <c r="D13" s="126"/>
      <c r="E13" s="126"/>
      <c r="F13" s="24"/>
      <c r="G13" s="24"/>
      <c r="H13" s="24"/>
      <c r="I13" s="24"/>
    </row>
    <row r="14" spans="1:15" ht="15.75" x14ac:dyDescent="0.25">
      <c r="A14" s="24"/>
      <c r="B14" s="26" t="s">
        <v>7</v>
      </c>
      <c r="C14" s="114" t="s">
        <v>8</v>
      </c>
      <c r="D14" s="114"/>
      <c r="E14" s="114"/>
      <c r="F14" s="24"/>
      <c r="G14" s="24"/>
      <c r="H14" s="24"/>
      <c r="I14" s="24"/>
    </row>
    <row r="15" spans="1:15" s="28" customFormat="1" ht="15.75" x14ac:dyDescent="0.25">
      <c r="A15" s="27"/>
      <c r="B15" s="49" t="s">
        <v>86</v>
      </c>
      <c r="C15" s="57" t="s">
        <v>90</v>
      </c>
      <c r="D15" s="57"/>
      <c r="E15" s="57"/>
      <c r="F15" s="27"/>
      <c r="G15" s="27"/>
      <c r="H15" s="27"/>
      <c r="I15" s="27"/>
    </row>
    <row r="16" spans="1:15" s="28" customFormat="1" ht="16.5" thickBot="1" x14ac:dyDescent="0.3">
      <c r="A16" s="27"/>
      <c r="B16" s="49"/>
      <c r="C16" s="27"/>
      <c r="D16" s="27"/>
      <c r="E16" s="27"/>
      <c r="F16" s="27"/>
      <c r="G16" s="27"/>
      <c r="H16" s="27"/>
      <c r="I16" s="27"/>
    </row>
    <row r="17" spans="1:18" s="28" customFormat="1" ht="16.5" thickBot="1" x14ac:dyDescent="0.3">
      <c r="A17" s="27"/>
      <c r="B17" s="98" t="s">
        <v>9</v>
      </c>
      <c r="C17" s="99"/>
      <c r="D17" s="117" t="s">
        <v>25</v>
      </c>
      <c r="E17" s="117"/>
      <c r="F17" s="29"/>
      <c r="G17" s="29"/>
      <c r="H17" s="29"/>
      <c r="I17" s="30"/>
      <c r="K17" s="27"/>
      <c r="L17" s="27"/>
      <c r="M17" s="27"/>
      <c r="N17" s="27"/>
      <c r="O17" s="27"/>
      <c r="P17" s="27"/>
    </row>
    <row r="18" spans="1:18" s="28" customFormat="1" ht="16.5" thickBot="1" x14ac:dyDescent="0.3">
      <c r="A18" s="27"/>
      <c r="B18" s="31"/>
      <c r="C18" s="27"/>
      <c r="D18" s="118" t="s">
        <v>78</v>
      </c>
      <c r="E18" s="119"/>
      <c r="F18" s="119"/>
      <c r="G18" s="119"/>
      <c r="H18" s="119"/>
      <c r="I18" s="120"/>
      <c r="K18" s="27"/>
      <c r="L18" s="32"/>
      <c r="M18" s="27"/>
      <c r="N18" s="27"/>
      <c r="O18" s="27"/>
      <c r="P18" s="27"/>
    </row>
    <row r="19" spans="1:18" s="28" customFormat="1" ht="16.5" thickBot="1" x14ac:dyDescent="0.3">
      <c r="A19" s="27"/>
      <c r="B19" s="33"/>
      <c r="C19" s="34"/>
      <c r="D19" s="58" t="s">
        <v>11</v>
      </c>
      <c r="E19" s="59" t="s">
        <v>12</v>
      </c>
      <c r="F19" s="59" t="s">
        <v>13</v>
      </c>
      <c r="G19" s="59" t="s">
        <v>14</v>
      </c>
      <c r="H19" s="59" t="s">
        <v>15</v>
      </c>
      <c r="I19" s="60" t="s">
        <v>16</v>
      </c>
      <c r="K19" s="35" t="s">
        <v>17</v>
      </c>
      <c r="L19" s="36" t="s">
        <v>85</v>
      </c>
      <c r="M19" s="115" t="s">
        <v>92</v>
      </c>
      <c r="N19" s="116"/>
      <c r="O19" s="37" t="s">
        <v>84</v>
      </c>
      <c r="P19" s="27"/>
    </row>
    <row r="20" spans="1:18" s="28" customFormat="1" ht="15.75" x14ac:dyDescent="0.25">
      <c r="A20" s="27"/>
      <c r="B20" s="121" t="s">
        <v>43</v>
      </c>
      <c r="C20" s="122"/>
      <c r="D20" s="69">
        <f>VLOOKUP($B$20, 'NFVT Yield File'!$B$2:$H$39, 2, FALSE)</f>
        <v>1165.5643417748299</v>
      </c>
      <c r="E20" s="70">
        <f>VLOOKUP($B$20, 'NFVT Yield File'!$B$2:$H$39, 3, FALSE)</f>
        <v>2059.1829932942601</v>
      </c>
      <c r="F20" s="70">
        <f>VLOOKUP($B$20, 'NFVT Yield File'!$B$2:$H$39, 4, FALSE)</f>
        <v>3596.73885825671</v>
      </c>
      <c r="G20" s="70">
        <f>VLOOKUP($B$20, 'NFVT Yield File'!$B$2:$H$39, 5, FALSE)</f>
        <v>3955.0045869444698</v>
      </c>
      <c r="H20" s="70">
        <f>VLOOKUP($B$20, 'NFVT Yield File'!$B$2:$H$39, 6, FALSE)</f>
        <v>2846.7514906491401</v>
      </c>
      <c r="I20" s="71">
        <f>VLOOKUP($B$20, 'NFVT Yield File'!$B$2:$H$39, 7, FALSE)</f>
        <v>13577.611707873501</v>
      </c>
      <c r="K20" s="38" t="str">
        <f>B20</f>
        <v>4front NEA2</v>
      </c>
      <c r="L20" s="22">
        <v>15</v>
      </c>
      <c r="M20" s="67">
        <v>20</v>
      </c>
      <c r="N20" s="92" t="s">
        <v>19</v>
      </c>
      <c r="O20" s="89">
        <f>M20*L20</f>
        <v>300</v>
      </c>
      <c r="P20" s="27"/>
    </row>
    <row r="21" spans="1:18" s="28" customFormat="1" ht="16.5" thickBot="1" x14ac:dyDescent="0.3">
      <c r="A21" s="27"/>
      <c r="B21" s="96" t="s">
        <v>20</v>
      </c>
      <c r="C21" s="97"/>
      <c r="D21" s="72">
        <f>VLOOKUP($B$21, 'NFVT Yield File'!$B$2:$H$40, 2, FALSE)</f>
        <v>938.09786493464799</v>
      </c>
      <c r="E21" s="73">
        <f>VLOOKUP($B$21, 'NFVT Yield File'!$B$2:$H$40, 3, FALSE)</f>
        <v>1948.1197568595601</v>
      </c>
      <c r="F21" s="73">
        <f>VLOOKUP($B$21, 'NFVT Yield File'!$B$2:$H$40, 4, FALSE)</f>
        <v>3248.87441770854</v>
      </c>
      <c r="G21" s="73">
        <f>VLOOKUP($B$21, 'NFVT Yield File'!$B$2:$H$40, 5, FALSE)</f>
        <v>3280.8127918136902</v>
      </c>
      <c r="H21" s="73">
        <f>VLOOKUP($B$21, 'NFVT Yield File'!$B$2:$H$40, 6, FALSE)</f>
        <v>2398.9034372723299</v>
      </c>
      <c r="I21" s="74">
        <f>VLOOKUP($B$21, 'NFVT Yield File'!$B$2:$H$40, 7, FALSE)</f>
        <v>11802.8440623642</v>
      </c>
      <c r="K21" s="39" t="str">
        <f>B21</f>
        <v>Nui</v>
      </c>
      <c r="L21" s="23">
        <v>5</v>
      </c>
      <c r="M21" s="68">
        <v>20</v>
      </c>
      <c r="N21" s="93" t="s">
        <v>19</v>
      </c>
      <c r="O21" s="90">
        <f>M21*L21</f>
        <v>100</v>
      </c>
      <c r="P21" s="27"/>
    </row>
    <row r="22" spans="1:18" s="28" customFormat="1" ht="16.5" thickBot="1" x14ac:dyDescent="0.3">
      <c r="A22" s="27"/>
      <c r="B22" s="40"/>
      <c r="C22" s="41"/>
      <c r="D22" s="41"/>
      <c r="E22" s="42"/>
      <c r="F22" s="42"/>
      <c r="G22" s="42"/>
      <c r="H22" s="42"/>
      <c r="I22" s="43"/>
      <c r="K22" s="44"/>
      <c r="L22" s="45"/>
      <c r="M22" s="104" t="s">
        <v>21</v>
      </c>
      <c r="N22" s="105"/>
      <c r="O22" s="91">
        <f>O20-O21</f>
        <v>200</v>
      </c>
      <c r="P22" s="27"/>
    </row>
    <row r="23" spans="1:18" s="28" customFormat="1" ht="16.899999999999999" customHeight="1" thickBot="1" x14ac:dyDescent="0.3">
      <c r="A23" s="27"/>
      <c r="B23" s="95" t="s">
        <v>91</v>
      </c>
      <c r="C23" s="46" t="str">
        <f>B21</f>
        <v>Nui</v>
      </c>
      <c r="D23" s="75">
        <f t="shared" ref="D23:I23" si="0">D20-D21</f>
        <v>227.46647684018194</v>
      </c>
      <c r="E23" s="76">
        <f t="shared" si="0"/>
        <v>111.0632364347</v>
      </c>
      <c r="F23" s="76">
        <f t="shared" si="0"/>
        <v>347.86444054817002</v>
      </c>
      <c r="G23" s="76">
        <f t="shared" si="0"/>
        <v>674.19179513077961</v>
      </c>
      <c r="H23" s="76">
        <f t="shared" si="0"/>
        <v>447.84805337681019</v>
      </c>
      <c r="I23" s="77">
        <f t="shared" si="0"/>
        <v>1774.7676455093006</v>
      </c>
      <c r="K23" s="27"/>
      <c r="L23" s="27"/>
      <c r="M23" s="27"/>
      <c r="N23" s="27"/>
      <c r="O23" s="27"/>
      <c r="P23" s="27"/>
    </row>
    <row r="24" spans="1:18" s="28" customFormat="1" ht="16.5" thickBot="1" x14ac:dyDescent="0.3">
      <c r="A24" s="27"/>
      <c r="B24" s="66" t="s">
        <v>79</v>
      </c>
      <c r="C24" s="47" t="str">
        <f>C23</f>
        <v>Nui</v>
      </c>
      <c r="D24" s="78">
        <f t="shared" ref="D24:I24" si="1">D23/D21</f>
        <v>0.24247627602907748</v>
      </c>
      <c r="E24" s="79">
        <f t="shared" si="1"/>
        <v>5.7010476919415867E-2</v>
      </c>
      <c r="F24" s="79">
        <f t="shared" si="1"/>
        <v>0.10707229514692104</v>
      </c>
      <c r="G24" s="79">
        <f t="shared" si="1"/>
        <v>0.20549535676434458</v>
      </c>
      <c r="H24" s="79">
        <f t="shared" si="1"/>
        <v>0.18668865383178376</v>
      </c>
      <c r="I24" s="80">
        <f t="shared" si="1"/>
        <v>0.15036779577292839</v>
      </c>
      <c r="R24" s="28" t="s">
        <v>22</v>
      </c>
    </row>
    <row r="25" spans="1:18" s="28" customFormat="1" ht="16.5" thickBot="1" x14ac:dyDescent="0.3">
      <c r="A25" s="27"/>
      <c r="B25" s="48"/>
      <c r="C25" s="49"/>
      <c r="D25" s="27"/>
      <c r="E25" s="27"/>
      <c r="F25" s="27"/>
      <c r="G25" s="27"/>
      <c r="H25" s="27"/>
      <c r="I25" s="50"/>
      <c r="L25" s="100" t="s">
        <v>80</v>
      </c>
      <c r="M25" s="101"/>
      <c r="N25" s="101"/>
    </row>
    <row r="26" spans="1:18" s="28" customFormat="1" ht="16.5" thickBot="1" x14ac:dyDescent="0.3">
      <c r="A26" s="27"/>
      <c r="B26" s="106" t="s">
        <v>82</v>
      </c>
      <c r="C26" s="107"/>
      <c r="D26" s="81">
        <f>VLOOKUP($D$17,Lists!$D$5:$I$8, 3, FALSE)</f>
        <v>0.32</v>
      </c>
      <c r="E26" s="82">
        <f>VLOOKUP($D$17,Lists!$D$5:$I$8, 4, FALSE)</f>
        <v>0.59</v>
      </c>
      <c r="F26" s="82">
        <f>VLOOKUP($D$17,Lists!$D$5:$I$8, 5, FALSE)</f>
        <v>0.21</v>
      </c>
      <c r="G26" s="82">
        <f>VLOOKUP($D$17,Lists!$D$5:$I$8, 6, FALSE)</f>
        <v>0.44</v>
      </c>
      <c r="H26" s="83">
        <f>VLOOKUP($D$17,Lists!$D$5:$I$8, 2, FALSE)</f>
        <v>0.42</v>
      </c>
      <c r="I26" s="50"/>
      <c r="L26" s="102"/>
      <c r="M26" s="101"/>
      <c r="N26" s="101"/>
    </row>
    <row r="27" spans="1:18" s="28" customFormat="1" ht="16.5" thickBot="1" x14ac:dyDescent="0.3">
      <c r="A27" s="27"/>
      <c r="B27" s="106" t="s">
        <v>88</v>
      </c>
      <c r="C27" s="107"/>
      <c r="D27" s="108">
        <v>0.75</v>
      </c>
      <c r="E27" s="109"/>
      <c r="F27" s="109"/>
      <c r="G27" s="109"/>
      <c r="H27" s="110"/>
      <c r="I27" s="50"/>
      <c r="L27" s="102"/>
      <c r="M27" s="101"/>
      <c r="N27" s="101"/>
    </row>
    <row r="28" spans="1:18" ht="16.5" thickBot="1" x14ac:dyDescent="0.3">
      <c r="A28" s="24"/>
      <c r="B28" s="106" t="s">
        <v>81</v>
      </c>
      <c r="C28" s="107"/>
      <c r="D28" s="84">
        <f>D23*D26*$D$27</f>
        <v>54.591954441643665</v>
      </c>
      <c r="E28" s="85">
        <f t="shared" ref="E28:H28" si="2">E23*E26*$D$27</f>
        <v>49.14548212235475</v>
      </c>
      <c r="F28" s="85">
        <f t="shared" si="2"/>
        <v>54.788649386336772</v>
      </c>
      <c r="G28" s="85">
        <f t="shared" si="2"/>
        <v>222.48329239315729</v>
      </c>
      <c r="H28" s="86">
        <f t="shared" si="2"/>
        <v>141.07213681369521</v>
      </c>
      <c r="I28" s="87">
        <f>SUM(D28:H28)</f>
        <v>522.08151515718771</v>
      </c>
    </row>
    <row r="29" spans="1:18" ht="15.75" thickBot="1" x14ac:dyDescent="0.3">
      <c r="B29" s="51"/>
      <c r="C29" s="52"/>
      <c r="D29" s="53"/>
      <c r="E29" s="53"/>
      <c r="F29" s="53"/>
      <c r="G29" s="53"/>
      <c r="H29" s="53"/>
      <c r="I29" s="54"/>
    </row>
    <row r="30" spans="1:18" ht="19.5" thickBot="1" x14ac:dyDescent="0.35">
      <c r="B30" s="55"/>
      <c r="C30" s="56"/>
      <c r="D30" s="56"/>
      <c r="E30" s="111" t="s">
        <v>95</v>
      </c>
      <c r="F30" s="112"/>
      <c r="G30" s="112"/>
      <c r="H30" s="113"/>
      <c r="I30" s="88">
        <f>I28-O22</f>
        <v>322.08151515718771</v>
      </c>
    </row>
    <row r="32" spans="1:18" x14ac:dyDescent="0.25">
      <c r="B32" s="103" t="s">
        <v>77</v>
      </c>
      <c r="C32" s="103"/>
      <c r="D32" s="103"/>
      <c r="E32" s="103"/>
      <c r="F32" s="103"/>
      <c r="G32" s="103"/>
      <c r="H32" s="103"/>
      <c r="I32" s="103"/>
    </row>
    <row r="33" spans="2:9" x14ac:dyDescent="0.25">
      <c r="B33" s="103"/>
      <c r="C33" s="103"/>
      <c r="D33" s="103"/>
      <c r="E33" s="103"/>
      <c r="F33" s="103"/>
      <c r="G33" s="103"/>
      <c r="H33" s="103"/>
      <c r="I33" s="103"/>
    </row>
    <row r="34" spans="2:9" x14ac:dyDescent="0.25">
      <c r="B34" s="103" t="s">
        <v>87</v>
      </c>
      <c r="C34" s="103"/>
      <c r="D34" s="103"/>
      <c r="E34" s="103"/>
      <c r="F34" s="103"/>
      <c r="G34" s="103"/>
      <c r="H34" s="103"/>
      <c r="I34" s="103"/>
    </row>
    <row r="35" spans="2:9" x14ac:dyDescent="0.25">
      <c r="B35" s="103"/>
      <c r="C35" s="103"/>
      <c r="D35" s="103"/>
      <c r="E35" s="103"/>
      <c r="F35" s="103"/>
      <c r="G35" s="103"/>
      <c r="H35" s="103"/>
      <c r="I35" s="103"/>
    </row>
  </sheetData>
  <sheetProtection sheet="1" objects="1" scenarios="1"/>
  <mergeCells count="21">
    <mergeCell ref="C10:E10"/>
    <mergeCell ref="C11:E11"/>
    <mergeCell ref="C12:E12"/>
    <mergeCell ref="C13:E13"/>
    <mergeCell ref="B7:H8"/>
    <mergeCell ref="C14:E14"/>
    <mergeCell ref="M19:N19"/>
    <mergeCell ref="D17:E17"/>
    <mergeCell ref="D18:I18"/>
    <mergeCell ref="B20:C20"/>
    <mergeCell ref="B21:C21"/>
    <mergeCell ref="B17:C17"/>
    <mergeCell ref="L25:N27"/>
    <mergeCell ref="B32:I33"/>
    <mergeCell ref="B34:I35"/>
    <mergeCell ref="M22:N22"/>
    <mergeCell ref="B27:C27"/>
    <mergeCell ref="D27:H27"/>
    <mergeCell ref="B28:C28"/>
    <mergeCell ref="B26:C26"/>
    <mergeCell ref="E30:H30"/>
  </mergeCells>
  <pageMargins left="0.25" right="0.25" top="0.75" bottom="0.75" header="0.3" footer="0.3"/>
  <pageSetup scale="50" orientation="landscape" verticalDpi="0" r:id="rId1"/>
  <colBreaks count="1" manualBreakCount="1">
    <brk id="1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3D254C9-DB1B-450E-915E-C2B530E79F2B}">
          <x14:formula1>
            <xm:f>Lists!$B$3:$B$6</xm:f>
          </x14:formula1>
          <xm:sqref>D17</xm:sqref>
        </x14:dataValidation>
        <x14:dataValidation type="list" allowBlank="1" showInputMessage="1" showErrorMessage="1" xr:uid="{6F802CC2-C5EE-4237-AD78-32A737CB1807}">
          <x14:formula1>
            <xm:f>'NFVT Yield File'!$B$39:$B$40</xm:f>
          </x14:formula1>
          <xm:sqref>B21</xm:sqref>
        </x14:dataValidation>
        <x14:dataValidation type="list" allowBlank="1" showInputMessage="1" showErrorMessage="1" xr:uid="{F4E8650B-D2AB-426E-900F-00FC5F53FD8D}">
          <x14:formula1>
            <xm:f>'NFVT Yield File'!$B$2:$B$37</xm:f>
          </x14:formula1>
          <xm:sqref>B20</xm:sqref>
        </x14:dataValidation>
        <x14:dataValidation type="list" allowBlank="1" showInputMessage="1" showErrorMessage="1" xr:uid="{CE80C874-3A81-4049-B8B8-D06F61D1C149}">
          <x14:formula1>
            <xm:f>Lists!$D$19:$D$24</xm:f>
          </x14:formula1>
          <xm:sqref>D27:H27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528D-D3A0-4D04-8093-A0673AE730C6}">
  <dimension ref="B2:I24"/>
  <sheetViews>
    <sheetView workbookViewId="0">
      <selection activeCell="D25" sqref="D25"/>
    </sheetView>
  </sheetViews>
  <sheetFormatPr defaultRowHeight="15" x14ac:dyDescent="0.25"/>
  <cols>
    <col min="2" max="2" width="17.42578125" bestFit="1" customWidth="1"/>
    <col min="4" max="4" width="17.42578125" bestFit="1" customWidth="1"/>
    <col min="5" max="5" width="13.28515625" bestFit="1" customWidth="1"/>
    <col min="6" max="9" width="10.42578125" customWidth="1"/>
  </cols>
  <sheetData>
    <row r="2" spans="2:9" ht="15.75" thickBot="1" x14ac:dyDescent="0.3">
      <c r="B2" s="3" t="s">
        <v>23</v>
      </c>
      <c r="D2" s="3" t="s">
        <v>24</v>
      </c>
    </row>
    <row r="3" spans="2:9" x14ac:dyDescent="0.25">
      <c r="B3" t="s">
        <v>25</v>
      </c>
      <c r="D3" s="128" t="s">
        <v>9</v>
      </c>
      <c r="E3" s="130" t="s">
        <v>26</v>
      </c>
      <c r="F3" s="131"/>
      <c r="G3" s="131"/>
      <c r="H3" s="131"/>
      <c r="I3" s="132"/>
    </row>
    <row r="4" spans="2:9" ht="15.75" thickBot="1" x14ac:dyDescent="0.3">
      <c r="B4" t="s">
        <v>27</v>
      </c>
      <c r="D4" s="129"/>
      <c r="E4" s="4" t="s">
        <v>15</v>
      </c>
      <c r="F4" s="5" t="s">
        <v>11</v>
      </c>
      <c r="G4" s="5" t="s">
        <v>28</v>
      </c>
      <c r="H4" s="5" t="s">
        <v>29</v>
      </c>
      <c r="I4" s="6" t="s">
        <v>14</v>
      </c>
    </row>
    <row r="5" spans="2:9" x14ac:dyDescent="0.25">
      <c r="B5" t="s">
        <v>30</v>
      </c>
      <c r="D5" s="7" t="s">
        <v>25</v>
      </c>
      <c r="E5" s="16">
        <v>0.42</v>
      </c>
      <c r="F5" s="8">
        <v>0.32</v>
      </c>
      <c r="G5" s="8">
        <v>0.59</v>
      </c>
      <c r="H5" s="8">
        <v>0.21</v>
      </c>
      <c r="I5" s="9">
        <v>0.44</v>
      </c>
    </row>
    <row r="6" spans="2:9" x14ac:dyDescent="0.25">
      <c r="B6" t="s">
        <v>10</v>
      </c>
      <c r="D6" s="10" t="s">
        <v>27</v>
      </c>
      <c r="E6" s="17">
        <v>0.34</v>
      </c>
      <c r="F6" s="11">
        <v>0.44</v>
      </c>
      <c r="G6" s="11">
        <v>0.57999999999999996</v>
      </c>
      <c r="H6" s="11">
        <v>0.16</v>
      </c>
      <c r="I6" s="12">
        <v>0.23</v>
      </c>
    </row>
    <row r="7" spans="2:9" x14ac:dyDescent="0.25">
      <c r="D7" s="10" t="s">
        <v>30</v>
      </c>
      <c r="E7" s="17">
        <v>0.32</v>
      </c>
      <c r="F7" s="11">
        <v>0.55000000000000004</v>
      </c>
      <c r="G7" s="11">
        <v>0.51</v>
      </c>
      <c r="H7" s="11">
        <v>0.38</v>
      </c>
      <c r="I7" s="12">
        <v>0.18</v>
      </c>
    </row>
    <row r="8" spans="2:9" ht="15.75" thickBot="1" x14ac:dyDescent="0.3">
      <c r="B8" s="3" t="s">
        <v>31</v>
      </c>
      <c r="D8" s="13" t="s">
        <v>10</v>
      </c>
      <c r="E8" s="18">
        <v>0.28999999999999998</v>
      </c>
      <c r="F8" s="14">
        <v>0.49</v>
      </c>
      <c r="G8" s="14">
        <v>0.55000000000000004</v>
      </c>
      <c r="H8" s="14">
        <v>0.23</v>
      </c>
      <c r="I8" s="15">
        <v>0.1</v>
      </c>
    </row>
    <row r="9" spans="2:9" x14ac:dyDescent="0.25">
      <c r="B9" s="19">
        <v>0.05</v>
      </c>
    </row>
    <row r="10" spans="2:9" ht="15.75" thickBot="1" x14ac:dyDescent="0.3">
      <c r="B10" s="19">
        <v>0.1</v>
      </c>
      <c r="D10" s="3" t="s">
        <v>24</v>
      </c>
    </row>
    <row r="11" spans="2:9" x14ac:dyDescent="0.25">
      <c r="B11" s="19">
        <v>0.15</v>
      </c>
      <c r="D11" s="128" t="s">
        <v>9</v>
      </c>
      <c r="E11" s="130" t="s">
        <v>32</v>
      </c>
      <c r="F11" s="131"/>
      <c r="G11" s="131"/>
      <c r="H11" s="131"/>
      <c r="I11" s="132"/>
    </row>
    <row r="12" spans="2:9" ht="15.75" thickBot="1" x14ac:dyDescent="0.3">
      <c r="B12" s="19">
        <v>0.2</v>
      </c>
      <c r="D12" s="129"/>
      <c r="E12" s="4" t="s">
        <v>33</v>
      </c>
      <c r="F12" s="5" t="s">
        <v>11</v>
      </c>
      <c r="G12" s="5" t="s">
        <v>28</v>
      </c>
      <c r="H12" s="5" t="s">
        <v>29</v>
      </c>
      <c r="I12" s="6" t="s">
        <v>14</v>
      </c>
    </row>
    <row r="13" spans="2:9" x14ac:dyDescent="0.25">
      <c r="B13" s="19">
        <v>0.25</v>
      </c>
      <c r="D13" s="7" t="s">
        <v>25</v>
      </c>
      <c r="E13" s="16">
        <v>0.38</v>
      </c>
      <c r="F13" s="8">
        <v>0.5</v>
      </c>
      <c r="G13" s="8">
        <v>0.43</v>
      </c>
      <c r="H13" s="8">
        <v>0.28000000000000003</v>
      </c>
      <c r="I13" s="9">
        <v>0.41</v>
      </c>
    </row>
    <row r="14" spans="2:9" x14ac:dyDescent="0.25">
      <c r="B14" s="19">
        <v>0.3</v>
      </c>
      <c r="D14" s="10" t="s">
        <v>27</v>
      </c>
      <c r="E14" s="17">
        <v>0.39</v>
      </c>
      <c r="F14" s="11">
        <v>0.56000000000000005</v>
      </c>
      <c r="G14" s="11">
        <v>0.49</v>
      </c>
      <c r="H14" s="11">
        <v>0.27</v>
      </c>
      <c r="I14" s="12">
        <v>0.4</v>
      </c>
    </row>
    <row r="15" spans="2:9" x14ac:dyDescent="0.25">
      <c r="B15" s="19">
        <v>0.35</v>
      </c>
      <c r="D15" s="10" t="s">
        <v>30</v>
      </c>
      <c r="E15" s="17">
        <v>0.46</v>
      </c>
      <c r="F15" s="11">
        <v>0.54</v>
      </c>
      <c r="G15" s="11">
        <v>0.49</v>
      </c>
      <c r="H15" s="11">
        <v>0.38</v>
      </c>
      <c r="I15" s="20">
        <v>0.18</v>
      </c>
    </row>
    <row r="16" spans="2:9" ht="15.75" thickBot="1" x14ac:dyDescent="0.3">
      <c r="B16" s="19">
        <v>0.4</v>
      </c>
      <c r="D16" s="13" t="s">
        <v>10</v>
      </c>
      <c r="E16" s="18">
        <v>0.46</v>
      </c>
      <c r="F16" s="14">
        <v>0.5</v>
      </c>
      <c r="G16" s="14">
        <v>0.56999999999999995</v>
      </c>
      <c r="H16" s="14">
        <v>0.24</v>
      </c>
      <c r="I16" s="15">
        <v>0.11</v>
      </c>
    </row>
    <row r="17" spans="2:4" x14ac:dyDescent="0.25">
      <c r="B17" s="19">
        <v>0.45</v>
      </c>
    </row>
    <row r="18" spans="2:4" x14ac:dyDescent="0.25">
      <c r="D18" s="64" t="s">
        <v>89</v>
      </c>
    </row>
    <row r="19" spans="2:4" x14ac:dyDescent="0.25">
      <c r="D19" s="65">
        <v>0.65</v>
      </c>
    </row>
    <row r="20" spans="2:4" x14ac:dyDescent="0.25">
      <c r="D20" s="65">
        <v>0.7</v>
      </c>
    </row>
    <row r="21" spans="2:4" x14ac:dyDescent="0.25">
      <c r="D21" s="65">
        <v>0.75</v>
      </c>
    </row>
    <row r="22" spans="2:4" x14ac:dyDescent="0.25">
      <c r="D22" s="65">
        <v>0.8</v>
      </c>
    </row>
    <row r="23" spans="2:4" x14ac:dyDescent="0.25">
      <c r="D23" s="65">
        <v>0.85</v>
      </c>
    </row>
    <row r="24" spans="2:4" x14ac:dyDescent="0.25">
      <c r="D24" s="65">
        <v>0.9</v>
      </c>
    </row>
  </sheetData>
  <mergeCells count="4">
    <mergeCell ref="D3:D4"/>
    <mergeCell ref="E3:I3"/>
    <mergeCell ref="D11:D12"/>
    <mergeCell ref="E11:I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14ED7-5D52-4021-BF40-F1A61E77B5BC}">
  <dimension ref="A1:H40"/>
  <sheetViews>
    <sheetView workbookViewId="0">
      <pane ySplit="1" topLeftCell="A2" activePane="bottomLeft" state="frozen"/>
      <selection activeCell="F24" sqref="F24"/>
      <selection pane="bottomLeft" activeCell="C8" sqref="C8"/>
    </sheetView>
  </sheetViews>
  <sheetFormatPr defaultRowHeight="15" x14ac:dyDescent="0.25"/>
  <cols>
    <col min="2" max="2" width="24" bestFit="1" customWidth="1"/>
    <col min="3" max="8" width="9.85546875" style="1" customWidth="1"/>
  </cols>
  <sheetData>
    <row r="1" spans="1:8" x14ac:dyDescent="0.25">
      <c r="B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</row>
    <row r="2" spans="1:8" x14ac:dyDescent="0.25">
      <c r="A2">
        <v>1</v>
      </c>
      <c r="B2" t="s">
        <v>18</v>
      </c>
      <c r="C2" s="2">
        <v>1170.21610453893</v>
      </c>
      <c r="D2" s="2">
        <v>2049.76440867667</v>
      </c>
      <c r="E2" s="2">
        <v>3669.2282986445998</v>
      </c>
      <c r="F2" s="2">
        <v>4100.2277084482403</v>
      </c>
      <c r="G2" s="2">
        <v>3070.8649790608201</v>
      </c>
      <c r="H2" s="2">
        <v>14021.3097955539</v>
      </c>
    </row>
    <row r="3" spans="1:8" x14ac:dyDescent="0.25">
      <c r="A3">
        <v>1</v>
      </c>
      <c r="B3" t="s">
        <v>41</v>
      </c>
      <c r="C3" s="2">
        <v>1169.27707583443</v>
      </c>
      <c r="D3" s="2">
        <v>2272.3112778765098</v>
      </c>
      <c r="E3" s="2">
        <v>3574.9927910428401</v>
      </c>
      <c r="F3" s="2">
        <v>4041.02276542767</v>
      </c>
      <c r="G3" s="2">
        <v>2902.7511957718498</v>
      </c>
      <c r="H3" s="2">
        <v>13989.167668324701</v>
      </c>
    </row>
    <row r="4" spans="1:8" x14ac:dyDescent="0.25">
      <c r="A4">
        <v>1</v>
      </c>
      <c r="B4" t="s">
        <v>42</v>
      </c>
      <c r="C4" s="2">
        <v>1149.9739698323301</v>
      </c>
      <c r="D4" s="2">
        <v>2038.9219715131101</v>
      </c>
      <c r="E4" s="2">
        <v>3546.8611981670201</v>
      </c>
      <c r="F4" s="2">
        <v>4059.9352062216899</v>
      </c>
      <c r="G4" s="2">
        <v>2920.2014258854401</v>
      </c>
      <c r="H4" s="2">
        <v>13724.7819682647</v>
      </c>
    </row>
    <row r="5" spans="1:8" x14ac:dyDescent="0.25">
      <c r="A5">
        <v>1</v>
      </c>
      <c r="B5" t="s">
        <v>43</v>
      </c>
      <c r="C5" s="2">
        <v>1165.5643417748299</v>
      </c>
      <c r="D5" s="2">
        <v>2059.1829932942601</v>
      </c>
      <c r="E5" s="2">
        <v>3596.73885825671</v>
      </c>
      <c r="F5" s="2">
        <v>3955.0045869444698</v>
      </c>
      <c r="G5" s="2">
        <v>2846.7514906491401</v>
      </c>
      <c r="H5" s="2">
        <v>13577.611707873501</v>
      </c>
    </row>
    <row r="6" spans="1:8" x14ac:dyDescent="0.25">
      <c r="A6">
        <v>1</v>
      </c>
      <c r="B6" t="s">
        <v>44</v>
      </c>
      <c r="C6" s="2">
        <v>1028.3764640157499</v>
      </c>
      <c r="D6" s="2">
        <v>2075.8373287616801</v>
      </c>
      <c r="E6" s="2">
        <v>3536.1859941437301</v>
      </c>
      <c r="F6" s="2">
        <v>3959.4865193288201</v>
      </c>
      <c r="G6" s="2">
        <v>2891.5847966371998</v>
      </c>
      <c r="H6" s="2">
        <v>13504.5523973334</v>
      </c>
    </row>
    <row r="7" spans="1:8" x14ac:dyDescent="0.25">
      <c r="A7">
        <v>1</v>
      </c>
      <c r="B7" t="s">
        <v>45</v>
      </c>
      <c r="C7" s="2">
        <v>1094.47885724356</v>
      </c>
      <c r="D7" s="2">
        <v>2107.23957704755</v>
      </c>
      <c r="E7" s="2">
        <v>3422.8602520649001</v>
      </c>
      <c r="F7" s="2">
        <v>3798.29322238753</v>
      </c>
      <c r="G7" s="2">
        <v>2706.0050883067502</v>
      </c>
      <c r="H7" s="2">
        <v>13109.5554587973</v>
      </c>
    </row>
    <row r="8" spans="1:8" x14ac:dyDescent="0.25">
      <c r="A8">
        <v>1</v>
      </c>
      <c r="B8" t="s">
        <v>46</v>
      </c>
      <c r="C8" s="2">
        <v>1065.19037236022</v>
      </c>
      <c r="D8" s="2">
        <v>1990.17474337884</v>
      </c>
      <c r="E8" s="2">
        <v>3135.1636806788101</v>
      </c>
      <c r="F8" s="2">
        <v>3573.87206853617</v>
      </c>
      <c r="G8" s="2">
        <v>2561.6251927145599</v>
      </c>
      <c r="H8" s="2">
        <v>12235.048751851</v>
      </c>
    </row>
    <row r="9" spans="1:8" x14ac:dyDescent="0.25">
      <c r="A9">
        <v>1</v>
      </c>
      <c r="B9" t="s">
        <v>47</v>
      </c>
      <c r="C9" s="2">
        <v>870.26379294036894</v>
      </c>
      <c r="D9" s="2">
        <v>1606.8509939983801</v>
      </c>
      <c r="E9" s="2">
        <v>3055.9625604412599</v>
      </c>
      <c r="F9" s="2">
        <v>3343.5100875584999</v>
      </c>
      <c r="G9" s="2">
        <v>2543.18624547436</v>
      </c>
      <c r="H9" s="2">
        <v>11464.704929060799</v>
      </c>
    </row>
    <row r="10" spans="1:8" x14ac:dyDescent="0.25">
      <c r="B10" t="s">
        <v>48</v>
      </c>
      <c r="C10" s="2">
        <v>787.39232541690899</v>
      </c>
      <c r="D10" s="2">
        <v>1736.69323076297</v>
      </c>
      <c r="E10" s="2">
        <v>3335.0939334182899</v>
      </c>
      <c r="F10" s="2">
        <v>3542.0544998226501</v>
      </c>
      <c r="G10" s="2">
        <v>2441.41671975075</v>
      </c>
      <c r="H10" s="2">
        <v>11821.440898927</v>
      </c>
    </row>
    <row r="11" spans="1:8" x14ac:dyDescent="0.25">
      <c r="B11" t="s">
        <v>49</v>
      </c>
      <c r="C11" s="2">
        <v>884.65567676321302</v>
      </c>
      <c r="D11" s="2">
        <v>2026.7017164803799</v>
      </c>
      <c r="E11" s="2">
        <v>3623.6485120037701</v>
      </c>
      <c r="F11" s="2">
        <v>3676.6499649243901</v>
      </c>
      <c r="G11" s="2">
        <v>2600.8601237456</v>
      </c>
      <c r="H11" s="2">
        <v>12828.0336192995</v>
      </c>
    </row>
    <row r="12" spans="1:8" x14ac:dyDescent="0.25">
      <c r="B12" t="s">
        <v>50</v>
      </c>
      <c r="C12" s="2">
        <v>629.11626689310697</v>
      </c>
      <c r="D12" s="2">
        <v>1657.14322655214</v>
      </c>
      <c r="E12" s="2">
        <v>3478.7915651200901</v>
      </c>
      <c r="F12" s="2">
        <v>3437.6571864779498</v>
      </c>
      <c r="G12" s="2">
        <v>2225.6384670524299</v>
      </c>
      <c r="H12" s="2">
        <v>11453.8025043287</v>
      </c>
    </row>
    <row r="13" spans="1:8" x14ac:dyDescent="0.25">
      <c r="B13" t="s">
        <v>51</v>
      </c>
      <c r="C13" s="2">
        <v>572.07916840994403</v>
      </c>
      <c r="D13" s="2">
        <v>1576.6263409906501</v>
      </c>
      <c r="E13" s="2">
        <v>3396.26637389292</v>
      </c>
      <c r="F13" s="2">
        <v>3133.8527448100399</v>
      </c>
      <c r="G13" s="2">
        <v>2165.9142254977801</v>
      </c>
      <c r="H13" s="2">
        <v>10828.6931295882</v>
      </c>
    </row>
    <row r="14" spans="1:8" x14ac:dyDescent="0.25">
      <c r="B14" t="s">
        <v>52</v>
      </c>
      <c r="C14" s="2">
        <v>1054.8097426132999</v>
      </c>
      <c r="D14" s="2">
        <v>1796.55055469837</v>
      </c>
      <c r="E14" s="2">
        <v>3174.8828738157899</v>
      </c>
      <c r="F14" s="2">
        <v>3586.8700342570901</v>
      </c>
      <c r="G14" s="2">
        <v>2489.28742802544</v>
      </c>
      <c r="H14" s="2">
        <v>12099.199984966799</v>
      </c>
    </row>
    <row r="15" spans="1:8" x14ac:dyDescent="0.25">
      <c r="B15" t="s">
        <v>53</v>
      </c>
      <c r="C15" s="21">
        <v>1043.4218576774001</v>
      </c>
      <c r="D15" s="2">
        <v>1873.21911285489</v>
      </c>
      <c r="E15" s="2">
        <v>3381.3470940374</v>
      </c>
      <c r="F15" s="2">
        <v>3550.1900269193502</v>
      </c>
      <c r="G15" s="2">
        <v>2439.0163191889801</v>
      </c>
      <c r="H15" s="2">
        <v>12266.4966277355</v>
      </c>
    </row>
    <row r="16" spans="1:8" x14ac:dyDescent="0.25">
      <c r="B16" t="s">
        <v>54</v>
      </c>
      <c r="C16" s="2">
        <v>1061.3329556261001</v>
      </c>
      <c r="D16" s="2">
        <v>1907.5967836171201</v>
      </c>
      <c r="E16" s="2">
        <v>3370.5033552166201</v>
      </c>
      <c r="F16" s="2">
        <v>3814.6438628012902</v>
      </c>
      <c r="G16" s="2">
        <v>2709.7005574379</v>
      </c>
      <c r="H16" s="2">
        <v>12856.6770788225</v>
      </c>
    </row>
    <row r="17" spans="2:8" x14ac:dyDescent="0.25">
      <c r="B17" t="s">
        <v>55</v>
      </c>
      <c r="C17" s="2">
        <v>1000.59623149607</v>
      </c>
      <c r="D17" s="2">
        <v>1975.65080121714</v>
      </c>
      <c r="E17" s="2">
        <v>3330.8769057668401</v>
      </c>
      <c r="F17" s="2">
        <v>3766.2476072742702</v>
      </c>
      <c r="G17" s="2">
        <v>2539.6155578852899</v>
      </c>
      <c r="H17" s="2">
        <v>12555.647504962901</v>
      </c>
    </row>
    <row r="18" spans="2:8" x14ac:dyDescent="0.25">
      <c r="B18" t="s">
        <v>56</v>
      </c>
      <c r="C18" s="2">
        <v>1126.6964890450199</v>
      </c>
      <c r="D18" s="2">
        <v>1976.04084306392</v>
      </c>
      <c r="E18" s="2">
        <v>3405.8635756316598</v>
      </c>
      <c r="F18" s="2">
        <v>3909.2024739246499</v>
      </c>
      <c r="G18" s="2">
        <v>2850.2660564306302</v>
      </c>
      <c r="H18" s="2">
        <v>13224.1198679014</v>
      </c>
    </row>
    <row r="19" spans="2:8" x14ac:dyDescent="0.25">
      <c r="B19" t="s">
        <v>57</v>
      </c>
      <c r="C19" s="2">
        <v>1066.25438399377</v>
      </c>
      <c r="D19" s="2">
        <v>2004.3127447407101</v>
      </c>
      <c r="E19" s="2">
        <v>3432.5395056740699</v>
      </c>
      <c r="F19" s="2">
        <v>3690.8965975321798</v>
      </c>
      <c r="G19" s="2">
        <v>2564.4031429872398</v>
      </c>
      <c r="H19" s="2">
        <v>12768.4718474988</v>
      </c>
    </row>
    <row r="20" spans="2:8" x14ac:dyDescent="0.25">
      <c r="B20" t="s">
        <v>58</v>
      </c>
      <c r="C20" s="2">
        <v>1051.4798517259501</v>
      </c>
      <c r="D20" s="2">
        <v>1952.2742832925201</v>
      </c>
      <c r="E20" s="2">
        <v>3387.2069022743099</v>
      </c>
      <c r="F20" s="2">
        <v>3642.4863587674799</v>
      </c>
      <c r="G20" s="2">
        <v>2669.2462364246899</v>
      </c>
      <c r="H20" s="2">
        <v>12705.523007207799</v>
      </c>
    </row>
    <row r="21" spans="2:8" x14ac:dyDescent="0.25">
      <c r="B21" t="s">
        <v>59</v>
      </c>
      <c r="C21" s="2">
        <v>1073.17740419336</v>
      </c>
      <c r="D21" s="2">
        <v>1827.83148412638</v>
      </c>
      <c r="E21" s="2">
        <v>3302.0901770314099</v>
      </c>
      <c r="F21" s="2">
        <v>3799.82008607947</v>
      </c>
      <c r="G21" s="2">
        <v>2722.0129321733202</v>
      </c>
      <c r="H21" s="2">
        <v>12728.5114201463</v>
      </c>
    </row>
    <row r="22" spans="2:8" x14ac:dyDescent="0.25">
      <c r="B22" t="s">
        <v>60</v>
      </c>
      <c r="C22" s="2">
        <v>1142.30684438861</v>
      </c>
      <c r="D22" s="2">
        <v>2029.69677107345</v>
      </c>
      <c r="E22" s="2">
        <v>3414.2795906552701</v>
      </c>
      <c r="F22" s="2">
        <v>3915.4398781885302</v>
      </c>
      <c r="G22" s="2">
        <v>2989.21220593929</v>
      </c>
      <c r="H22" s="2">
        <v>13502.646915707701</v>
      </c>
    </row>
    <row r="23" spans="2:8" x14ac:dyDescent="0.25">
      <c r="B23" t="s">
        <v>61</v>
      </c>
      <c r="C23" s="2">
        <v>1118.7240403522701</v>
      </c>
      <c r="D23" s="2">
        <v>1990.900213207</v>
      </c>
      <c r="E23" s="2">
        <v>3402.4062769915699</v>
      </c>
      <c r="F23" s="2">
        <v>3720.5102076665898</v>
      </c>
      <c r="G23" s="2">
        <v>2722.8621755936902</v>
      </c>
      <c r="H23" s="2">
        <v>12916.9755593878</v>
      </c>
    </row>
    <row r="24" spans="2:8" x14ac:dyDescent="0.25">
      <c r="B24" t="s">
        <v>62</v>
      </c>
      <c r="C24" s="2">
        <v>1088.1859587147801</v>
      </c>
      <c r="D24" s="2">
        <v>1843.87798490876</v>
      </c>
      <c r="E24" s="2">
        <v>3353.3801627758698</v>
      </c>
      <c r="F24" s="2">
        <v>3846.0586445889498</v>
      </c>
      <c r="G24" s="2">
        <v>2644.5450879372902</v>
      </c>
      <c r="H24" s="2">
        <v>12764.770207417399</v>
      </c>
    </row>
    <row r="25" spans="2:8" x14ac:dyDescent="0.25">
      <c r="B25" t="s">
        <v>63</v>
      </c>
      <c r="C25" s="2">
        <v>1173.4886316371999</v>
      </c>
      <c r="D25" s="2">
        <v>2042.12777900943</v>
      </c>
      <c r="E25" s="2">
        <v>3499.5681798638002</v>
      </c>
      <c r="F25" s="2">
        <v>4056.9055310465501</v>
      </c>
      <c r="G25" s="2">
        <v>2939.5989027535902</v>
      </c>
      <c r="H25" s="2">
        <v>13707.3174437619</v>
      </c>
    </row>
    <row r="26" spans="2:8" x14ac:dyDescent="0.25">
      <c r="B26" t="s">
        <v>64</v>
      </c>
      <c r="C26" s="2">
        <v>1067.89296119643</v>
      </c>
      <c r="D26" s="2">
        <v>2002.4529033916001</v>
      </c>
      <c r="E26" s="2">
        <v>3485.7090155178998</v>
      </c>
      <c r="F26" s="2">
        <v>3802.64458313151</v>
      </c>
      <c r="G26" s="2">
        <v>2867.4069162851201</v>
      </c>
      <c r="H26" s="2">
        <v>13211.174313555301</v>
      </c>
    </row>
    <row r="27" spans="2:8" x14ac:dyDescent="0.25">
      <c r="B27" t="s">
        <v>65</v>
      </c>
      <c r="C27" s="2">
        <v>1131.6590858254301</v>
      </c>
      <c r="D27" s="2">
        <v>1999.97436027144</v>
      </c>
      <c r="E27" s="2">
        <v>3437.5228578470701</v>
      </c>
      <c r="F27" s="2">
        <v>3875.12507760259</v>
      </c>
      <c r="G27" s="2">
        <v>2730.7981567910401</v>
      </c>
      <c r="H27" s="2">
        <v>13169.4553755043</v>
      </c>
    </row>
    <row r="28" spans="2:8" x14ac:dyDescent="0.25">
      <c r="B28" t="s">
        <v>66</v>
      </c>
      <c r="C28" s="2">
        <v>1112.1845206356199</v>
      </c>
      <c r="D28" s="2">
        <v>2040.9487083428201</v>
      </c>
      <c r="E28" s="2">
        <v>3499.3682221362201</v>
      </c>
      <c r="F28" s="2">
        <v>3874.0071154468401</v>
      </c>
      <c r="G28" s="2">
        <v>2789.2683473970701</v>
      </c>
      <c r="H28" s="2">
        <v>13325.503961575099</v>
      </c>
    </row>
    <row r="29" spans="2:8" x14ac:dyDescent="0.25">
      <c r="B29" t="s">
        <v>67</v>
      </c>
      <c r="C29" s="2">
        <v>1175.4655416354401</v>
      </c>
      <c r="D29" s="2">
        <v>2123.8916593108802</v>
      </c>
      <c r="E29" s="2">
        <v>3548.1555043048702</v>
      </c>
      <c r="F29" s="2">
        <v>3952.9671704047801</v>
      </c>
      <c r="G29" s="2">
        <v>3005.03709745073</v>
      </c>
      <c r="H29" s="2">
        <v>13919.1419623694</v>
      </c>
    </row>
    <row r="30" spans="2:8" x14ac:dyDescent="0.25">
      <c r="B30" t="s">
        <v>68</v>
      </c>
      <c r="C30" s="2">
        <v>961.06818374282295</v>
      </c>
      <c r="D30" s="2">
        <v>1876.4624999083601</v>
      </c>
      <c r="E30" s="2">
        <v>3307.6631353447901</v>
      </c>
      <c r="F30" s="2">
        <v>3636.44286404075</v>
      </c>
      <c r="G30" s="2">
        <v>2520.3070306320201</v>
      </c>
      <c r="H30" s="2">
        <v>12381.284294307399</v>
      </c>
    </row>
    <row r="31" spans="2:8" x14ac:dyDescent="0.25">
      <c r="B31" t="s">
        <v>69</v>
      </c>
      <c r="C31" s="2">
        <v>965.44545141722904</v>
      </c>
      <c r="D31" s="2">
        <v>1969.2339393360301</v>
      </c>
      <c r="E31" s="2">
        <v>3383.4490174879102</v>
      </c>
      <c r="F31" s="2">
        <v>3569.6028670770802</v>
      </c>
      <c r="G31" s="2">
        <v>2830.1532348711999</v>
      </c>
      <c r="H31" s="2">
        <v>12726.956211929401</v>
      </c>
    </row>
    <row r="32" spans="2:8" x14ac:dyDescent="0.25">
      <c r="B32" t="s">
        <v>70</v>
      </c>
      <c r="C32" s="2">
        <v>1046.5208751195</v>
      </c>
      <c r="D32" s="2">
        <v>2095.3074438255799</v>
      </c>
      <c r="E32" s="2">
        <v>3374.3366404758699</v>
      </c>
      <c r="F32" s="2">
        <v>3734.7137991475402</v>
      </c>
      <c r="G32" s="2">
        <v>2787.2466020339002</v>
      </c>
      <c r="H32" s="2">
        <v>13025.837291092101</v>
      </c>
    </row>
    <row r="33" spans="2:8" x14ac:dyDescent="0.25">
      <c r="B33" t="s">
        <v>71</v>
      </c>
      <c r="C33" s="2">
        <v>1015.97983189664</v>
      </c>
      <c r="D33" s="2">
        <v>2000.7025046112799</v>
      </c>
      <c r="E33" s="2">
        <v>3392.1139771111598</v>
      </c>
      <c r="F33" s="2">
        <v>3456.6386713372499</v>
      </c>
      <c r="G33" s="2">
        <v>2620.65034904103</v>
      </c>
      <c r="H33" s="2">
        <v>12458.7510510796</v>
      </c>
    </row>
    <row r="34" spans="2:8" x14ac:dyDescent="0.25">
      <c r="B34" t="s">
        <v>72</v>
      </c>
      <c r="C34" s="2">
        <v>1182.9852195052499</v>
      </c>
      <c r="D34" s="2">
        <v>2001.3675009735</v>
      </c>
      <c r="E34" s="2">
        <v>3583.9404481135698</v>
      </c>
      <c r="F34" s="2">
        <v>3864.5224794453202</v>
      </c>
      <c r="G34" s="2">
        <v>2853.1811767377199</v>
      </c>
      <c r="H34" s="2">
        <v>13454.0113462428</v>
      </c>
    </row>
    <row r="35" spans="2:8" x14ac:dyDescent="0.25">
      <c r="B35" t="s">
        <v>73</v>
      </c>
      <c r="C35" s="2">
        <v>1100.6986407504601</v>
      </c>
      <c r="D35" s="2">
        <v>2024.2718589454801</v>
      </c>
      <c r="E35" s="2">
        <v>3424.2903493092799</v>
      </c>
      <c r="F35" s="2">
        <v>3874.0049840339898</v>
      </c>
      <c r="G35" s="2">
        <v>2675.6155211996602</v>
      </c>
      <c r="H35" s="2">
        <v>13101.1998506338</v>
      </c>
    </row>
    <row r="36" spans="2:8" x14ac:dyDescent="0.25">
      <c r="B36" t="s">
        <v>74</v>
      </c>
      <c r="C36" s="2">
        <v>982.34292728691298</v>
      </c>
      <c r="D36" s="2">
        <v>1982.95927161081</v>
      </c>
      <c r="E36" s="2">
        <v>3306.3388590586801</v>
      </c>
      <c r="F36" s="2">
        <v>3748.9724867228301</v>
      </c>
      <c r="G36" s="2">
        <v>2611.0860045293398</v>
      </c>
      <c r="H36" s="2">
        <v>12631.861516898</v>
      </c>
    </row>
    <row r="37" spans="2:8" x14ac:dyDescent="0.25">
      <c r="B37" t="s">
        <v>75</v>
      </c>
      <c r="C37" s="2">
        <v>1122.27257496894</v>
      </c>
      <c r="D37" s="2">
        <v>1935.8530014590699</v>
      </c>
      <c r="E37" s="2">
        <v>3573.2308677917899</v>
      </c>
      <c r="F37" s="2">
        <v>4112.7768024785</v>
      </c>
      <c r="G37" s="2">
        <v>3117.69183092003</v>
      </c>
      <c r="H37" s="2">
        <v>13875.502307274501</v>
      </c>
    </row>
    <row r="38" spans="2:8" x14ac:dyDescent="0.25">
      <c r="C38" s="2"/>
      <c r="D38" s="2"/>
      <c r="E38" s="2"/>
      <c r="F38" s="2"/>
      <c r="G38" s="2"/>
      <c r="H38" s="2"/>
    </row>
    <row r="39" spans="2:8" x14ac:dyDescent="0.25">
      <c r="B39" t="s">
        <v>76</v>
      </c>
      <c r="C39" s="2">
        <v>872.68575427155702</v>
      </c>
      <c r="D39" s="2">
        <v>1832.84407655058</v>
      </c>
      <c r="E39" s="2">
        <v>3005.11089725803</v>
      </c>
      <c r="F39" s="2">
        <v>2872.43619943577</v>
      </c>
      <c r="G39" s="2">
        <v>1911.6118816748799</v>
      </c>
      <c r="H39" s="2">
        <v>10485.444192205199</v>
      </c>
    </row>
    <row r="40" spans="2:8" x14ac:dyDescent="0.25">
      <c r="B40" t="s">
        <v>20</v>
      </c>
      <c r="C40" s="2">
        <v>938.09786493464799</v>
      </c>
      <c r="D40" s="2">
        <v>1948.1197568595601</v>
      </c>
      <c r="E40" s="2">
        <v>3248.87441770854</v>
      </c>
      <c r="F40" s="2">
        <v>3280.8127918136902</v>
      </c>
      <c r="G40" s="2">
        <v>2398.9034372723299</v>
      </c>
      <c r="H40" s="2">
        <v>11802.8440623642</v>
      </c>
    </row>
  </sheetData>
  <sortState xmlns:xlrd2="http://schemas.microsoft.com/office/spreadsheetml/2017/richdata2" ref="B10:H37">
    <sortCondition ref="B10:B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5D8CC4CFC74EB1714B52AE6E1CF1" ma:contentTypeVersion="7" ma:contentTypeDescription="Create a new document." ma:contentTypeScope="" ma:versionID="132464710f64231ac0ada8ffad13265b">
  <xsd:schema xmlns:xsd="http://www.w3.org/2001/XMLSchema" xmlns:xs="http://www.w3.org/2001/XMLSchema" xmlns:p="http://schemas.microsoft.com/office/2006/metadata/properties" xmlns:ns2="b27e987f-8ce0-42c7-b6ce-5a3d023cbb64" xmlns:ns3="77ebd890-d325-475c-8e7b-37d5596e64bd" targetNamespace="http://schemas.microsoft.com/office/2006/metadata/properties" ma:root="true" ma:fieldsID="5eebe07279e82d1ef59e441e4931fadc" ns2:_="" ns3:_="">
    <xsd:import namespace="b27e987f-8ce0-42c7-b6ce-5a3d023cbb64"/>
    <xsd:import namespace="77ebd890-d325-475c-8e7b-37d5596e6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e987f-8ce0-42c7-b6ce-5a3d023cb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bd890-d325-475c-8e7b-37d5596e6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44A4D-8DCB-4820-A071-964F98598C54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64ff5cf2-7c66-4d16-b408-0823287ccd10"/>
    <ds:schemaRef ds:uri="http://schemas.microsoft.com/office/infopath/2007/PartnerControls"/>
    <ds:schemaRef ds:uri="1a9233d2-c102-4d35-b4c9-c34c9775934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0CB851-923F-48D8-B53B-38A62CB847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DD09C3-DA7B-4416-B094-CE9583CAA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e987f-8ce0-42c7-b6ce-5a3d023cbb64"/>
    <ds:schemaRef ds:uri="77ebd890-d325-475c-8e7b-37d5596e64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Value of perennial ryegrass</vt:lpstr>
      <vt:lpstr>Lists</vt:lpstr>
      <vt:lpstr>NFVT Yield File</vt:lpstr>
      <vt:lpstr>'Value of perennial ryegrass'!Print_Area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Blair Cotching</dc:creator>
  <cp:keywords/>
  <dc:description/>
  <cp:lastModifiedBy>Katie Shand</cp:lastModifiedBy>
  <cp:revision/>
  <cp:lastPrinted>2023-07-27T20:50:24Z</cp:lastPrinted>
  <dcterms:created xsi:type="dcterms:W3CDTF">2023-05-11T00:13:48Z</dcterms:created>
  <dcterms:modified xsi:type="dcterms:W3CDTF">2023-09-03T21:50:47Z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0x0101006E475D8CC4CFC74EB1714B52AE6E1CF1</vt:lpwstr>
  </property>
  <property fmtid="{D5CDD505-2E9C-101B-9397-08002B2CF9AE}" pid="3" name="MediaServiceImageTags">
    <vt:lpwstr/>
  </property>
</Properties>
</file>